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anau-Netz\NG2-RM\Schmitt\Veröffentlichungspflichten\2022\Internetauftritt\"/>
    </mc:Choice>
  </mc:AlternateContent>
  <bookViews>
    <workbookView xWindow="-105" yWindow="-105" windowWidth="38625" windowHeight="21225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7" l="1"/>
  <c r="W13" i="7" l="1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Q13" i="7" l="1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L21" i="18" l="1"/>
  <c r="I21" i="18"/>
  <c r="E21" i="18" s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H55" i="18" l="1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19" i="7"/>
  <c r="X23" i="7"/>
  <c r="X11" i="7"/>
  <c r="X22" i="7"/>
  <c r="X21" i="7"/>
  <c r="X18" i="7"/>
  <c r="X17" i="7"/>
  <c r="X14" i="7"/>
  <c r="X15" i="7"/>
  <c r="X24" i="7"/>
  <c r="X20" i="7"/>
  <c r="X16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G32" i="17" l="1"/>
  <c r="H32" i="17"/>
  <c r="F32" i="17"/>
  <c r="J32" i="17"/>
  <c r="N32" i="17"/>
  <c r="K32" i="17"/>
  <c r="L32" i="17"/>
  <c r="I32" i="17"/>
  <c r="M32" i="17"/>
  <c r="G21" i="17"/>
  <c r="K21" i="17"/>
  <c r="F21" i="17"/>
  <c r="E21" i="17" s="1"/>
  <c r="H21" i="17"/>
  <c r="L21" i="17"/>
  <c r="I21" i="17"/>
  <c r="M21" i="17"/>
  <c r="J21" i="17"/>
  <c r="N21" i="17"/>
  <c r="D57" i="17"/>
  <c r="D67" i="17"/>
  <c r="H66" i="17" s="1"/>
  <c r="G66" i="17" l="1"/>
  <c r="E32" i="17"/>
  <c r="K66" i="17"/>
  <c r="F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4" i="7" l="1"/>
  <c r="L14" i="7"/>
  <c r="P14" i="7"/>
  <c r="K15" i="7"/>
  <c r="O15" i="7"/>
  <c r="J16" i="7"/>
  <c r="N16" i="7"/>
  <c r="I17" i="7"/>
  <c r="M17" i="7"/>
  <c r="H18" i="7"/>
  <c r="L18" i="7"/>
  <c r="P18" i="7"/>
  <c r="K19" i="7"/>
  <c r="O19" i="7"/>
  <c r="J20" i="7"/>
  <c r="N20" i="7"/>
  <c r="I21" i="7"/>
  <c r="M21" i="7"/>
  <c r="H22" i="7"/>
  <c r="L22" i="7"/>
  <c r="P22" i="7"/>
  <c r="K23" i="7"/>
  <c r="O23" i="7"/>
  <c r="J24" i="7"/>
  <c r="N24" i="7"/>
  <c r="N11" i="7"/>
  <c r="L11" i="7"/>
  <c r="H11" i="7"/>
  <c r="N14" i="7"/>
  <c r="M15" i="7"/>
  <c r="L16" i="7"/>
  <c r="K17" i="7"/>
  <c r="J18" i="7"/>
  <c r="I19" i="7"/>
  <c r="H20" i="7"/>
  <c r="P20" i="7"/>
  <c r="O21" i="7"/>
  <c r="N22" i="7"/>
  <c r="M23" i="7"/>
  <c r="L24" i="7"/>
  <c r="P11" i="7"/>
  <c r="O14" i="7"/>
  <c r="N15" i="7"/>
  <c r="M16" i="7"/>
  <c r="L17" i="7"/>
  <c r="K18" i="7"/>
  <c r="J19" i="7"/>
  <c r="I20" i="7"/>
  <c r="H21" i="7"/>
  <c r="P21" i="7"/>
  <c r="O22" i="7"/>
  <c r="N23" i="7"/>
  <c r="M24" i="7"/>
  <c r="M11" i="7"/>
  <c r="I14" i="7"/>
  <c r="M14" i="7"/>
  <c r="H15" i="7"/>
  <c r="L15" i="7"/>
  <c r="P15" i="7"/>
  <c r="K16" i="7"/>
  <c r="O16" i="7"/>
  <c r="J17" i="7"/>
  <c r="N17" i="7"/>
  <c r="I18" i="7"/>
  <c r="M18" i="7"/>
  <c r="H19" i="7"/>
  <c r="L19" i="7"/>
  <c r="P19" i="7"/>
  <c r="K20" i="7"/>
  <c r="O20" i="7"/>
  <c r="J21" i="7"/>
  <c r="N21" i="7"/>
  <c r="I22" i="7"/>
  <c r="M22" i="7"/>
  <c r="H23" i="7"/>
  <c r="L23" i="7"/>
  <c r="P23" i="7"/>
  <c r="K24" i="7"/>
  <c r="O24" i="7"/>
  <c r="O11" i="7"/>
  <c r="J11" i="7"/>
  <c r="J14" i="7"/>
  <c r="I15" i="7"/>
  <c r="H16" i="7"/>
  <c r="P16" i="7"/>
  <c r="O17" i="7"/>
  <c r="N18" i="7"/>
  <c r="M19" i="7"/>
  <c r="L20" i="7"/>
  <c r="K21" i="7"/>
  <c r="J22" i="7"/>
  <c r="I23" i="7"/>
  <c r="H24" i="7"/>
  <c r="P24" i="7"/>
  <c r="K11" i="7"/>
  <c r="K14" i="7"/>
  <c r="J15" i="7"/>
  <c r="I16" i="7"/>
  <c r="H17" i="7"/>
  <c r="P17" i="7"/>
  <c r="O18" i="7"/>
  <c r="N19" i="7"/>
  <c r="M20" i="7"/>
  <c r="L21" i="7"/>
  <c r="K22" i="7"/>
  <c r="J23" i="7"/>
  <c r="I24" i="7"/>
  <c r="I11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C5" i="1"/>
  <c r="D6" i="15"/>
  <c r="D6" i="7"/>
  <c r="Q16" i="7" l="1"/>
  <c r="Q11" i="7"/>
  <c r="Q18" i="7"/>
  <c r="Q12" i="7"/>
  <c r="Q24" i="7"/>
  <c r="Q23" i="7"/>
  <c r="Q14" i="7"/>
  <c r="Q19" i="7"/>
  <c r="Q20" i="7"/>
  <c r="Q17" i="7"/>
  <c r="Q15" i="7"/>
  <c r="Q21" i="7"/>
  <c r="Q22" i="7"/>
  <c r="C39" i="7"/>
  <c r="C27" i="7"/>
  <c r="C18" i="7"/>
  <c r="C12" i="7"/>
  <c r="C17" i="7"/>
  <c r="C24" i="7"/>
  <c r="C29" i="7"/>
  <c r="C30" i="7"/>
  <c r="C14" i="7"/>
  <c r="C23" i="7"/>
  <c r="C26" i="7"/>
  <c r="C32" i="7"/>
  <c r="C37" i="7"/>
  <c r="C34" i="7"/>
  <c r="C15" i="7"/>
  <c r="C31" i="7"/>
  <c r="C20" i="7"/>
  <c r="C36" i="7"/>
  <c r="C25" i="7"/>
  <c r="C28" i="7"/>
  <c r="C13" i="7"/>
  <c r="C21" i="7"/>
  <c r="C16" i="7"/>
  <c r="C33" i="7"/>
  <c r="C19" i="7"/>
  <c r="C38" i="7"/>
  <c r="C22" i="7"/>
  <c r="C35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<sst xmlns="http://schemas.openxmlformats.org/spreadsheetml/2006/main" count="1392" uniqueCount="679">
  <si>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</si>
  <si>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</si>
  <si>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</si>
  <si>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</si>
  <si>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</si>
  <si>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</si>
  <si>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</si>
  <si>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</si>
  <si>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</si>
  <si>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</si>
  <si>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</si>
  <si>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</si>
  <si>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</si>
  <si>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</si>
  <si>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</si>
  <si>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</si>
  <si>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</si>
  <si>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</si>
  <si>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</si>
  <si>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</si>
  <si>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</si>
  <si>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</si>
  <si>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</si>
  <si>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</si>
  <si>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</si>
  <si>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</si>
  <si>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</si>
  <si>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</si>
  <si>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</si>
  <si>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</si>
  <si>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</si>
  <si>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</si>
  <si>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</si>
  <si>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</si>
  <si>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</si>
  <si>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</si>
  <si>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</si>
  <si>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</si>
  <si>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</si>
  <si>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</si>
  <si>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</si>
  <si>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</si>
  <si>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</si>
  <si>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</si>
  <si>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</si>
  <si>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</si>
  <si>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</si>
  <si>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</si>
  <si>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</si>
  <si>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</si>
  <si>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</si>
  <si>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</si>
  <si>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</si>
  <si>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</si>
  <si>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</si>
  <si>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</si>
  <si>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</si>
  <si>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</si>
  <si>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</si>
  <si>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</si>
  <si>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</si>
  <si>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</si>
  <si>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</si>
  <si>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</si>
  <si>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</si>
  <si>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</si>
  <si>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</si>
  <si>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</si>
  <si>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</si>
  <si>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</si>
  <si>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</si>
  <si>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</si>
  <si>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</si>
  <si>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</si>
  <si>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</si>
  <si>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</si>
  <si>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</si>
  <si>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</si>
  <si>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</si>
  <si>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</si>
  <si>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</si>
  <si>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</si>
  <si>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</si>
  <si>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</si>
  <si>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</si>
  <si>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</si>
  <si>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</si>
  <si>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</si>
  <si>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</si>
  <si>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</si>
  <si>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</si>
  <si>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</si>
  <si>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</si>
  <si>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</si>
  <si>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</si>
  <si>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</si>
  <si>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</si>
  <si>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</si>
  <si>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</si>
  <si>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</si>
  <si>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</si>
  <si>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</si>
  <si>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</si>
  <si>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</si>
  <si>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</si>
  <si>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</si>
  <si>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</si>
  <si>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</si>
  <si>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</si>
  <si>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</si>
  <si>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</si>
  <si>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</si>
  <si>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</si>
  <si>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</si>
  <si>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</si>
  <si>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</si>
  <si>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</si>
  <si>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</si>
  <si>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</si>
  <si>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</si>
  <si>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</si>
  <si>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</si>
  <si>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</si>
  <si>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</si>
  <si>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</si>
  <si>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</si>
  <si>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</si>
  <si>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</si>
  <si>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</si>
  <si>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</si>
  <si>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</si>
  <si>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</si>
  <si>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</si>
  <si>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</si>
  <si>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</si>
  <si>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</si>
  <si>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</si>
  <si>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</si>
  <si>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</si>
  <si>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</si>
  <si>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</si>
  <si>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</si>
  <si>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</si>
  <si>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</si>
  <si>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</si>
  <si>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</si>
  <si>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</si>
  <si>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</si>
  <si>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</si>
  <si>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</si>
  <si>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</si>
  <si>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</si>
  <si>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</si>
  <si>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</si>
  <si>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</si>
  <si>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</si>
  <si>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</si>
  <si>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</si>
  <si>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</si>
  <si>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</si>
  <si>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</si>
  <si>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</si>
  <si>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</si>
  <si>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</si>
  <si>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</si>
  <si>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</si>
  <si>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</si>
  <si>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</si>
  <si>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</si>
  <si>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</si>
  <si>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</si>
  <si>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</si>
  <si>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</si>
  <si>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</si>
  <si>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</si>
  <si>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</si>
  <si>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</si>
  <si>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</si>
  <si>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</si>
  <si>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</si>
  <si>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</si>
  <si>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</si>
  <si>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</si>
  <si>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</si>
  <si>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</si>
  <si>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</si>
  <si>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</si>
  <si>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</si>
  <si>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</si>
  <si>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</si>
  <si>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</si>
  <si>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</si>
  <si>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</si>
  <si>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</si>
  <si>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</si>
  <si>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</si>
  <si>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</si>
  <si>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</si>
  <si>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</si>
  <si>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</si>
  <si>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</si>
  <si>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</si>
  <si>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</si>
  <si>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</si>
  <si>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</si>
  <si>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</si>
  <si>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</si>
  <si>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</si>
  <si>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</si>
  <si>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</si>
  <si>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</si>
  <si>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</si>
  <si>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</si>
  <si>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</si>
  <si>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</si>
  <si>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</si>
  <si>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</si>
  <si>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</si>
  <si>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</si>
  <si>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</si>
  <si>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</si>
  <si>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</si>
  <si>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</si>
  <si>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</si>
  <si>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</si>
  <si>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</si>
  <si>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</si>
  <si>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</si>
  <si>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</si>
  <si>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</si>
  <si>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</si>
  <si>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</si>
  <si>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</si>
  <si>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</si>
  <si>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</si>
  <si>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</si>
  <si>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</si>
  <si>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</si>
  <si>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</si>
  <si>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</si>
  <si>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</si>
  <si>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</si>
  <si>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</si>
  <si>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</si>
  <si>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</si>
  <si>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</si>
  <si>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</si>
  <si>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</si>
  <si>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</si>
  <si>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</si>
  <si>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</si>
  <si>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</si>
  <si>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</si>
  <si>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</si>
  <si>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</si>
  <si>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</si>
  <si>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</si>
  <si>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</si>
  <si>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</si>
  <si>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</si>
  <si>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</si>
  <si>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</si>
  <si>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</si>
  <si>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</si>
  <si>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</si>
  <si>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</si>
  <si>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</si>
  <si>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</si>
  <si>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</si>
  <si>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</si>
  <si>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</si>
  <si>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</si>
  <si>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</si>
  <si>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</si>
  <si>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</si>
  <si>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</si>
  <si>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</si>
  <si>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</si>
  <si>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</si>
  <si>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</si>
  <si>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</si>
  <si>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</si>
  <si>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</si>
  <si>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</si>
  <si>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</si>
  <si>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</si>
  <si>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</si>
  <si>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</si>
  <si>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</si>
  <si>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</si>
  <si>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</si>
  <si>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</si>
  <si>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</si>
  <si>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</si>
  <si>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</si>
  <si>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</si>
  <si>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</si>
  <si>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</si>
  <si>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</si>
  <si>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</si>
  <si>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</si>
  <si>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</si>
  <si>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</si>
  <si>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</si>
  <si>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</si>
  <si>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</si>
  <si>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</si>
  <si>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</si>
  <si>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</si>
  <si>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</si>
  <si>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</si>
  <si>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</si>
  <si>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</si>
  <si>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</si>
  <si>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</si>
  <si>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</si>
  <si>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</si>
  <si>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</si>
  <si>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</si>
  <si>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</si>
  <si>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</si>
  <si>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</si>
  <si>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</si>
  <si>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</si>
  <si>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</si>
  <si>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</si>
  <si>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</si>
  <si>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</si>
  <si>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</si>
  <si>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</si>
  <si>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</si>
  <si>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</si>
  <si>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</si>
  <si>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</si>
  <si>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</si>
  <si>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</si>
  <si>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</si>
  <si>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</si>
  <si>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</si>
  <si>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</si>
  <si>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</si>
  <si>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</si>
  <si>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</si>
  <si>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</si>
  <si>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</si>
  <si>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</si>
  <si>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</si>
  <si>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</si>
  <si>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</si>
  <si>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</si>
  <si>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</si>
  <si>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</si>
  <si>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</si>
  <si>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</si>
  <si>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</si>
  <si>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</si>
  <si>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</si>
  <si>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</si>
  <si>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</si>
  <si>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</si>
  <si>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</si>
  <si>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</si>
  <si>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</si>
  <si>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</si>
  <si>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</si>
  <si>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</si>
  <si>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</si>
  <si>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</si>
  <si>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</si>
  <si>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</si>
  <si>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</si>
  <si>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</si>
  <si>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</si>
  <si>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</si>
  <si>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</si>
  <si>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</si>
  <si>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</si>
  <si>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</si>
  <si>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</si>
  <si>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</si>
  <si>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</si>
  <si>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</si>
  <si>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</si>
  <si>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</si>
  <si>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</si>
  <si>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</si>
  <si>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</si>
  <si>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</si>
  <si>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</si>
  <si>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</si>
  <si>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</si>
  <si>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</si>
  <si>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</si>
  <si>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</si>
  <si>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</si>
  <si>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</si>
  <si>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</si>
  <si>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</si>
  <si>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</si>
  <si>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</si>
  <si>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</si>
  <si>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</si>
  <si>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</si>
  <si>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</si>
  <si>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</si>
  <si>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</si>
  <si>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</si>
  <si>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</si>
  <si>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</si>
  <si>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</si>
  <si>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</si>
  <si>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</si>
  <si>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</si>
  <si>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</si>
  <si>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</si>
  <si>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</si>
  <si>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</si>
  <si>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</si>
  <si>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</si>
  <si>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</si>
  <si>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</si>
  <si>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</si>
  <si>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</si>
  <si>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</si>
  <si>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</si>
  <si>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</si>
  <si>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</si>
  <si>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</si>
  <si>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</si>
  <si>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</si>
  <si>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</si>
  <si>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</si>
  <si>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</si>
  <si>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</si>
  <si>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</si>
  <si>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</si>
  <si>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</si>
  <si>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</si>
  <si>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</si>
  <si>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</si>
  <si>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</si>
  <si>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</si>
  <si>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</si>
  <si>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</si>
  <si>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</si>
  <si>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</si>
  <si>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</si>
  <si>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</si>
  <si>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</si>
  <si>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</si>
  <si>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</si>
  <si>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</si>
  <si>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</si>
  <si>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</si>
  <si>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</si>
  <si>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</si>
  <si>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</si>
  <si>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</si>
  <si>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</si>
  <si>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</si>
  <si>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</si>
  <si>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</si>
  <si>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</si>
  <si>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</si>
  <si>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</si>
  <si>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</si>
  <si>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</si>
  <si>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</si>
  <si>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</si>
  <si>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</si>
  <si>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</si>
  <si>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</si>
  <si>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</si>
  <si>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</si>
  <si>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</si>
  <si>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</si>
  <si>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</si>
  <si>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</si>
  <si>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</si>
  <si>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</si>
  <si>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</si>
  <si>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</si>
  <si>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</si>
  <si>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</si>
  <si>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</si>
  <si>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</si>
  <si>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</si>
  <si>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</si>
  <si>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</si>
  <si>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</si>
  <si>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</si>
  <si>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</si>
  <si>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</si>
  <si>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</si>
  <si>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</si>
  <si>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</si>
  <si>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</si>
  <si>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</si>
  <si>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</si>
  <si>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</si>
  <si>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</si>
  <si>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</si>
  <si>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</si>
  <si>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</si>
  <si>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</si>
  <si>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</si>
  <si>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</si>
  <si>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</si>
  <si>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</si>
  <si>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</si>
  <si>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</si>
  <si>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</si>
  <si>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</si>
  <si>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</si>
  <si>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</si>
  <si>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</si>
  <si>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</si>
  <si>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</si>
  <si>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</si>
  <si>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</si>
  <si>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</si>
  <si>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</si>
  <si>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</si>
  <si>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</si>
  <si>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</si>
  <si>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</si>
  <si>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</si>
  <si>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</si>
  <si>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</si>
  <si>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</si>
  <si>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</si>
  <si>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</si>
  <si>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</si>
  <si>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</si>
  <si>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</si>
  <si>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</si>
  <si>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</si>
  <si>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</si>
  <si>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</si>
  <si>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</si>
  <si>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</si>
  <si>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</si>
  <si>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</si>
  <si>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</si>
  <si>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</si>
  <si>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</si>
  <si>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</si>
  <si>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</si>
  <si>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</si>
  <si>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</si>
  <si>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</si>
  <si>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</si>
  <si>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</si>
  <si>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</si>
  <si>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</si>
  <si>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</si>
  <si>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</si>
  <si>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</si>
  <si>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</si>
  <si>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</si>
  <si>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</si>
  <si>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</si>
  <si>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</si>
  <si>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</si>
  <si>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</si>
  <si>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</si>
  <si>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</si>
  <si>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</si>
  <si>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</si>
  <si>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</si>
  <si>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</si>
  <si>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</si>
  <si>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</si>
  <si>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</si>
  <si>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</si>
  <si>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</si>
  <si>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</si>
  <si>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</si>
  <si>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</si>
  <si>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</si>
  <si>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</si>
  <si>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</si>
  <si>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</si>
  <si>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</si>
  <si>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</si>
  <si>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</si>
  <si>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</si>
  <si>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</si>
  <si>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</si>
  <si>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</si>
  <si>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</si>
  <si>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</si>
  <si>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</si>
  <si>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</si>
  <si>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</si>
  <si>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</si>
  <si>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</si>
  <si>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</si>
  <si>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</si>
  <si>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</si>
  <si>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</si>
  <si>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</si>
  <si>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</si>
  <si>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</si>
  <si>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</si>
  <si>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</si>
  <si>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</si>
  <si>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</si>
  <si>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</si>
  <si>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</si>
  <si>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</si>
  <si>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</si>
  <si>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</si>
  <si>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</si>
  <si>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</si>
  <si>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</si>
  <si>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</si>
  <si>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</si>
  <si>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</si>
  <si>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</si>
  <si>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</si>
  <si>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</si>
  <si>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</si>
  <si>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</si>
  <si>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</si>
  <si>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</si>
  <si>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</si>
  <si>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</si>
  <si>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</si>
  <si>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</si>
  <si>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</si>
  <si>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</si>
  <si>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</si>
  <si>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</si>
  <si>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</si>
  <si>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</si>
  <si>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</si>
  <si>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</si>
  <si>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</si>
  <si>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</si>
  <si>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</si>
  <si>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</si>
  <si>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</si>
  <si>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</si>
  <si>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</si>
  <si>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</si>
  <si>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</si>
  <si>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</si>
  <si>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</si>
  <si>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</si>
  <si>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</si>
  <si>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</si>
  <si>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</si>
  <si>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</si>
  <si>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</si>
  <si>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</si>
  <si>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</si>
  <si>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Hanau Netz GmbH</t>
  </si>
  <si>
    <t>9870097800007</t>
  </si>
  <si>
    <t>Leipziger Straße 17</t>
  </si>
  <si>
    <t>D-63450</t>
  </si>
  <si>
    <t>Hanau</t>
  </si>
  <si>
    <t>Evgenij Kovalevskij</t>
  </si>
  <si>
    <t>transportmanagement.gas@hanau-netz-service.de</t>
  </si>
  <si>
    <t xml:space="preserve">069/ 213-22614 </t>
  </si>
  <si>
    <t>Hanau und Großkrotzenburg</t>
  </si>
  <si>
    <t>Kahl/Main</t>
  </si>
  <si>
    <t>DE_GMK03</t>
  </si>
  <si>
    <t>DE_GHA03</t>
  </si>
  <si>
    <t>DE_GBD03</t>
  </si>
  <si>
    <t>DE_GKO03</t>
  </si>
  <si>
    <t>DE_GBH03</t>
  </si>
  <si>
    <t>DE_GGA03</t>
  </si>
  <si>
    <t>DE_GBA03</t>
  </si>
  <si>
    <t>DE_GWA03</t>
  </si>
  <si>
    <t>DE_GGB03</t>
  </si>
  <si>
    <t>DE_GPD03</t>
  </si>
  <si>
    <t>Deutscher Wetterdienst</t>
  </si>
  <si>
    <t>THE0NKH700978000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</si>
</sst>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42195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0" t="s">
        <v>658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351" t="s">
        <v>660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661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662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43" t="s">
        <v>663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Hanau und Großkrotzenburg</v>
      </c>
      <c r="E28" s="38"/>
      <c r="F28" s="11"/>
      <c r="G28" s="2"/>
    </row>
    <row r="29" spans="1:15">
      <c r="B29" s="15"/>
      <c r="C29" s="22" t="s">
        <v>393</v>
      </c>
      <c r="D29" s="352" t="s">
        <v>665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4" priority="3">
      <formula>IF(CELL("Zeile",D30)&lt;$D$25+CELL("Zeile",$D$29),1,0)</formula>
    </cfRule>
  </conditionalFormatting>
  <conditionalFormatting sqref="D30:D48">
    <cfRule type="expression" dxfId="63" priority="2">
      <formula>IF(CELL(D30)&lt;$D$27+27,1,0)</formula>
    </cfRule>
  </conditionalFormatting>
  <conditionalFormatting sqref="D29">
    <cfRule type="expression" dxfId="62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7" sqref="D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Hanau 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Hanau und Großkrotzenburg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9870097800007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5" t="s">
        <v>616</v>
      </c>
      <c r="I11" s="275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678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13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352" t="s">
        <v>666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61" priority="22">
      <formula>IF(#REF!="Gaspool",1,0)</formula>
    </cfRule>
  </conditionalFormatting>
  <conditionalFormatting sqref="D46:D59">
    <cfRule type="expression" dxfId="60" priority="18">
      <formula>IF(CELL("Zeile",D46)&lt;$D$43+CELL("Zeile",$D$45),1,0)</formula>
    </cfRule>
  </conditionalFormatting>
  <conditionalFormatting sqref="D46:D59">
    <cfRule type="expression" dxfId="59" priority="17">
      <formula>IF(CELL(D46)&lt;$D$33+27,1,0)</formula>
    </cfRule>
  </conditionalFormatting>
  <conditionalFormatting sqref="D20">
    <cfRule type="expression" dxfId="58" priority="16">
      <formula>IF($D$19=$H$19,1,0)</formula>
    </cfRule>
  </conditionalFormatting>
  <conditionalFormatting sqref="D28">
    <cfRule type="expression" dxfId="57" priority="5">
      <formula>IF($D$15="synthetisch",1,0)</formula>
    </cfRule>
  </conditionalFormatting>
  <conditionalFormatting sqref="D25">
    <cfRule type="expression" dxfId="56" priority="3">
      <formula>IF(AND($D$24=$I$24,$D$23=$H$23),1,0)</formula>
    </cfRule>
  </conditionalFormatting>
  <conditionalFormatting sqref="D23:D25">
    <cfRule type="expression" dxfId="55" priority="6">
      <formula>IF($D$15="analytisch",1,0)</formula>
    </cfRule>
  </conditionalFormatting>
  <conditionalFormatting sqref="D24">
    <cfRule type="expression" dxfId="54" priority="4">
      <formula>IF($D$23="nein",1)</formula>
    </cfRule>
  </conditionalFormatting>
  <conditionalFormatting sqref="D45">
    <cfRule type="expression" dxfId="53" priority="2">
      <formula>IF(CELL("Zeile",D45)&lt;$D$46+CELL("Zeile",$D$48),1,0)</formula>
    </cfRule>
  </conditionalFormatting>
  <conditionalFormatting sqref="D45">
    <cfRule type="expression" dxfId="52" priority="1">
      <formula>IF(CELL(D45)&lt;$D$36+27,1,0)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abSelected="1" zoomScale="70" zoomScaleNormal="70" workbookViewId="0">
      <selection activeCell="E15" sqref="E1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17.140625" style="128" customWidth="1"/>
    <col min="6" max="14" width="12.7109375" style="128" customWidth="1"/>
    <col min="15" max="15" width="34.140625" style="128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Hanau und Großkrotzenburg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56">
        <v>9870097800007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1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8">
        <v>1</v>
      </c>
      <c r="G10" s="56"/>
      <c r="H10" s="171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5" t="str">
        <f>INDEX('SLP-Verfahren'!D45:D59,'SLP-Temp-Gebiet #01'!F10)</f>
        <v>Kahl/Main</v>
      </c>
      <c r="G11" s="299"/>
      <c r="H11" s="29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584</v>
      </c>
      <c r="D13" s="357"/>
      <c r="E13" s="357"/>
      <c r="F13" s="182" t="s">
        <v>548</v>
      </c>
      <c r="G13" s="130" t="s">
        <v>546</v>
      </c>
      <c r="H13" s="264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445</v>
      </c>
      <c r="D14" s="358"/>
      <c r="E14" s="89" t="s">
        <v>446</v>
      </c>
      <c r="F14" s="265"/>
      <c r="G14" s="266"/>
      <c r="H14" s="50"/>
      <c r="I14" s="56"/>
      <c r="J14" s="130"/>
      <c r="K14" s="130"/>
      <c r="L14" s="130"/>
      <c r="M14" s="130"/>
      <c r="N14" s="130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30"/>
      <c r="C15" s="358" t="s">
        <v>385</v>
      </c>
      <c r="D15" s="358"/>
      <c r="E15" s="89" t="s">
        <v>446</v>
      </c>
      <c r="F15" s="265"/>
      <c r="G15" s="266"/>
      <c r="H15" s="50"/>
      <c r="I15" s="56"/>
      <c r="J15" s="130"/>
      <c r="K15" s="130"/>
      <c r="L15" s="130"/>
      <c r="M15" s="130"/>
      <c r="N15" s="130"/>
      <c r="O15" s="161" t="s">
        <v>677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30"/>
      <c r="C16" s="173"/>
      <c r="D16" s="174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1:28" ht="19.5" customHeight="1">
      <c r="B17" s="175" t="s">
        <v>517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1:28" ht="33.75" customHeight="1">
      <c r="B20" s="130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2"/>
      <c r="C21" s="183" t="s">
        <v>525</v>
      </c>
      <c r="D21" s="153" t="s">
        <v>515</v>
      </c>
      <c r="E21" s="353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2"/>
      <c r="C22" s="183" t="s">
        <v>537</v>
      </c>
      <c r="D22" s="185">
        <f>SUMPRODUCT(E22:N22,E19:N19)</f>
        <v>1</v>
      </c>
      <c r="E22" s="354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2"/>
      <c r="C23" s="186" t="s">
        <v>137</v>
      </c>
      <c r="D23" s="187"/>
      <c r="E23" s="355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502</v>
      </c>
      <c r="T23" s="296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2"/>
      <c r="C24" s="186" t="s">
        <v>520</v>
      </c>
      <c r="D24" s="187"/>
      <c r="E24" s="355" t="s">
        <v>666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521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2"/>
      <c r="C25" s="186" t="s">
        <v>514</v>
      </c>
      <c r="D25" s="187"/>
      <c r="E25" s="355">
        <v>2480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2"/>
      <c r="C26" s="186" t="s">
        <v>141</v>
      </c>
      <c r="D26" s="187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/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1"/>
      <c r="J29" s="130"/>
      <c r="K29" s="130"/>
      <c r="L29" s="130"/>
      <c r="M29" s="130"/>
      <c r="N29" s="130"/>
      <c r="O29" s="130"/>
    </row>
    <row r="30" spans="1:28" ht="15" customHeight="1">
      <c r="E30" s="177">
        <f>IF(E31&gt;$F$29,0,1)</f>
        <v>1</v>
      </c>
      <c r="F30" s="177">
        <f t="shared" ref="F30:N30" si="2">IF(F31&gt;$F$29,0,1)</f>
        <v>1</v>
      </c>
      <c r="G30" s="177">
        <f t="shared" si="2"/>
        <v>1</v>
      </c>
      <c r="H30" s="177">
        <f t="shared" si="2"/>
        <v>1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2"/>
      <c r="C32" s="183" t="s">
        <v>526</v>
      </c>
      <c r="D32" s="185" t="s">
        <v>255</v>
      </c>
      <c r="E32" s="286">
        <f>1-SUMPRODUCT(F30:N30,F32:N32)</f>
        <v>0.5333</v>
      </c>
      <c r="F32" s="286">
        <f>ROUND(F33/$D$33,4)</f>
        <v>0.26669999999999999</v>
      </c>
      <c r="G32" s="286">
        <f t="shared" ref="G32:N32" si="3">ROUND(G33/$D$33,4)</f>
        <v>0.1333</v>
      </c>
      <c r="H32" s="286">
        <f t="shared" si="3"/>
        <v>6.6699999999999995E-2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3" t="s">
        <v>533</v>
      </c>
      <c r="D33" s="292">
        <f>SUMPRODUCT(E33:N33,E30:N30)</f>
        <v>1.875</v>
      </c>
      <c r="E33" s="287">
        <v>1</v>
      </c>
      <c r="F33" s="287">
        <v>0.5</v>
      </c>
      <c r="G33" s="287">
        <v>0.25</v>
      </c>
      <c r="H33" s="287">
        <v>0.125</v>
      </c>
      <c r="I33" s="155"/>
      <c r="J33" s="155"/>
      <c r="K33" s="155"/>
      <c r="L33" s="155"/>
      <c r="M33" s="155"/>
      <c r="N33" s="155"/>
      <c r="O33" s="184" t="s">
        <v>145</v>
      </c>
      <c r="Q33" s="210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2"/>
      <c r="C34" s="186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4" t="s">
        <v>142</v>
      </c>
      <c r="Q34" s="210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2"/>
      <c r="C35" s="186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4" t="s">
        <v>142</v>
      </c>
      <c r="Q35" s="210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86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4" t="s">
        <v>142</v>
      </c>
      <c r="Q36" s="210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2"/>
      <c r="C37" s="191" t="s">
        <v>440</v>
      </c>
      <c r="D37" s="119" t="s">
        <v>538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4" t="s">
        <v>142</v>
      </c>
      <c r="Q37" s="210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5" t="s">
        <v>579</v>
      </c>
      <c r="C51" s="176"/>
      <c r="D51" s="176"/>
      <c r="E51" s="176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2"/>
      <c r="D52" s="192"/>
      <c r="E52" s="192"/>
      <c r="F52" s="192"/>
      <c r="G52" s="192"/>
      <c r="H52" s="192"/>
      <c r="I52" s="207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1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30"/>
    </row>
    <row r="55" spans="2:28" ht="33.75" customHeight="1">
      <c r="B55" s="130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7"/>
      <c r="X55" s="67"/>
      <c r="Y55" s="67"/>
      <c r="Z55" s="67"/>
      <c r="AA55" s="67"/>
      <c r="AB55" s="67"/>
    </row>
    <row r="56" spans="2:28">
      <c r="B56" s="182"/>
      <c r="C56" s="183" t="s">
        <v>525</v>
      </c>
      <c r="D56" s="153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7"/>
      <c r="X56" s="67"/>
      <c r="Y56" s="67"/>
      <c r="Z56" s="67"/>
      <c r="AA56" s="67"/>
      <c r="AB56" s="67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137</v>
      </c>
      <c r="D58" s="187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4" t="s">
        <v>142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520</v>
      </c>
      <c r="D59" s="187"/>
      <c r="E59" s="156" t="str">
        <f>E24</f>
        <v>Kahl/Main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4" t="s">
        <v>521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514</v>
      </c>
      <c r="D60" s="187"/>
      <c r="E60" s="160">
        <f>E25</f>
        <v>2480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>
      <c r="B61" s="182"/>
      <c r="C61" s="186" t="s">
        <v>141</v>
      </c>
      <c r="D61" s="187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4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7">
        <f>IF(E65&gt;$F$63,0,1)</f>
        <v>1</v>
      </c>
      <c r="F64" s="177">
        <f t="shared" ref="F64:N64" si="11">IF(F65&gt;$F$63,0,1)</f>
        <v>1</v>
      </c>
      <c r="G64" s="177">
        <f t="shared" si="11"/>
        <v>1</v>
      </c>
      <c r="H64" s="177">
        <f t="shared" si="11"/>
        <v>1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30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-0.26669999999999994</v>
      </c>
      <c r="F66" s="286">
        <f>ROUND(F67/$D$67,4)</f>
        <v>0.26669999999999999</v>
      </c>
      <c r="G66" s="286">
        <f>1-SUMPRODUCT(H64:P64,H66:P66)</f>
        <v>0.93330000000000002</v>
      </c>
      <c r="H66" s="286">
        <f>ROUND(H67/$D$67,4)</f>
        <v>6.6699999999999995E-2</v>
      </c>
      <c r="I66" s="286">
        <f t="shared" ref="I66:N66" si="12">ROUND(I67/$D$67,4)</f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1.875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4" t="s">
        <v>142</v>
      </c>
    </row>
    <row r="69" spans="2:15">
      <c r="B69" s="182"/>
      <c r="C69" s="186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4" t="s">
        <v>142</v>
      </c>
    </row>
    <row r="70" spans="2:15">
      <c r="B70" s="182"/>
      <c r="C70" s="186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4" t="s">
        <v>142</v>
      </c>
    </row>
    <row r="72" spans="2:15"/>
    <row r="73" spans="2:15" ht="15.75" customHeight="1">
      <c r="C73" s="359" t="s">
        <v>580</v>
      </c>
      <c r="D73" s="359"/>
      <c r="E73" s="359"/>
      <c r="F73" s="35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51" priority="30">
      <formula>IF(F$20&lt;=$F$18,1,0)</formula>
    </cfRule>
  </conditionalFormatting>
  <conditionalFormatting sqref="E33:N37">
    <cfRule type="expression" dxfId="50" priority="29">
      <formula>IF(E$31&lt;=$F$29,1,0)</formula>
    </cfRule>
  </conditionalFormatting>
  <conditionalFormatting sqref="E26:N26">
    <cfRule type="expression" dxfId="49" priority="28">
      <formula>IF(E$20&lt;=$F$18,1,0)</formula>
    </cfRule>
  </conditionalFormatting>
  <conditionalFormatting sqref="E26:N26">
    <cfRule type="expression" dxfId="48" priority="27">
      <formula>IF(E$20&lt;=$F$18,1,0)</formula>
    </cfRule>
  </conditionalFormatting>
  <conditionalFormatting sqref="E57:N60">
    <cfRule type="expression" dxfId="47" priority="24">
      <formula>IF(E$55&lt;=$F$53,1,0)</formula>
    </cfRule>
  </conditionalFormatting>
  <conditionalFormatting sqref="E61:N61">
    <cfRule type="expression" dxfId="46" priority="23">
      <formula>IF(E$55&lt;=$F$53,1,0)</formula>
    </cfRule>
  </conditionalFormatting>
  <conditionalFormatting sqref="E67:N69">
    <cfRule type="expression" dxfId="45" priority="17">
      <formula>IF(E$65&lt;=$F$63,1,0)</formula>
    </cfRule>
  </conditionalFormatting>
  <conditionalFormatting sqref="E71:N71 E66:N69">
    <cfRule type="expression" dxfId="44" priority="15">
      <formula>IF(E$65&gt;$F$63,1,0)</formula>
    </cfRule>
  </conditionalFormatting>
  <conditionalFormatting sqref="E57:N61">
    <cfRule type="expression" dxfId="43" priority="14">
      <formula>IF(E$55&gt;$F$53,1,0)</formula>
    </cfRule>
  </conditionalFormatting>
  <conditionalFormatting sqref="E26:N26 F21:N25">
    <cfRule type="expression" dxfId="42" priority="13">
      <formula>IF(E$20&gt;$F$18,1,0)</formula>
    </cfRule>
  </conditionalFormatting>
  <conditionalFormatting sqref="E33:N37">
    <cfRule type="expression" dxfId="41" priority="12">
      <formula>IF(E$31&gt;$F$29,1,0)</formula>
    </cfRule>
  </conditionalFormatting>
  <conditionalFormatting sqref="H11 H8:H9">
    <cfRule type="expression" dxfId="40" priority="11">
      <formula>IF($F$9=1,1,0)</formula>
    </cfRule>
  </conditionalFormatting>
  <conditionalFormatting sqref="E56:N56">
    <cfRule type="expression" dxfId="39" priority="10">
      <formula>IF(E$55&gt;$F$53,1,0)</formula>
    </cfRule>
  </conditionalFormatting>
  <conditionalFormatting sqref="E32:N32">
    <cfRule type="expression" dxfId="38" priority="9">
      <formula>IF(E$31&gt;$F$29,1,0)</formula>
    </cfRule>
  </conditionalFormatting>
  <conditionalFormatting sqref="E71:N71">
    <cfRule type="expression" dxfId="37" priority="8">
      <formula>IF(E$65&lt;=$F$63,1,0)</formula>
    </cfRule>
  </conditionalFormatting>
  <conditionalFormatting sqref="H10">
    <cfRule type="expression" dxfId="36" priority="7">
      <formula>IF($F$9=1,1,0)</formula>
    </cfRule>
  </conditionalFormatting>
  <conditionalFormatting sqref="E70:N70">
    <cfRule type="expression" dxfId="35" priority="4">
      <formula>IF(E$65&lt;=$F$63,1,0)</formula>
    </cfRule>
  </conditionalFormatting>
  <conditionalFormatting sqref="E70:N70">
    <cfRule type="expression" dxfId="34" priority="3">
      <formula>IF(E$65&gt;$F$63,1,0)</formula>
    </cfRule>
  </conditionalFormatting>
  <conditionalFormatting sqref="E22:E25">
    <cfRule type="expression" dxfId="33" priority="2">
      <formula>IF(E$20&lt;=$F$18,1,0)</formula>
    </cfRule>
  </conditionalFormatting>
  <conditionalFormatting sqref="E21:E25">
    <cfRule type="expression" dxfId="32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Hanau und Großkrotzenburg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1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8">
        <v>2</v>
      </c>
      <c r="G10" s="56"/>
      <c r="H10" s="171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5">
        <f>INDEX('SLP-Verfahren'!D45:D59,'SLP-Temp-Gebiet #02'!F10)</f>
        <v>0</v>
      </c>
      <c r="G11" s="299"/>
      <c r="H11" s="29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584</v>
      </c>
      <c r="D13" s="357"/>
      <c r="E13" s="357"/>
      <c r="F13" s="182" t="s">
        <v>548</v>
      </c>
      <c r="G13" s="130" t="s">
        <v>546</v>
      </c>
      <c r="H13" s="264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445</v>
      </c>
      <c r="D14" s="358"/>
      <c r="E14" s="89" t="s">
        <v>446</v>
      </c>
      <c r="F14" s="265" t="s">
        <v>85</v>
      </c>
      <c r="G14" s="266" t="s">
        <v>572</v>
      </c>
      <c r="H14" s="50">
        <v>0</v>
      </c>
      <c r="I14" s="56"/>
      <c r="J14" s="130"/>
      <c r="K14" s="130"/>
      <c r="L14" s="130"/>
      <c r="M14" s="130"/>
      <c r="N14" s="130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30"/>
      <c r="C15" s="358" t="s">
        <v>385</v>
      </c>
      <c r="D15" s="358"/>
      <c r="E15" s="89" t="s">
        <v>446</v>
      </c>
      <c r="F15" s="265" t="s">
        <v>71</v>
      </c>
      <c r="G15" s="266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30"/>
      <c r="C16" s="173"/>
      <c r="D16" s="300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517</v>
      </c>
      <c r="C17" s="176"/>
      <c r="D17" s="30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525</v>
      </c>
      <c r="D21" s="153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502</v>
      </c>
      <c r="T23" s="29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520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521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514</v>
      </c>
      <c r="D25" s="187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2"/>
      <c r="C34" s="186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525</v>
      </c>
      <c r="D55" s="153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520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521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514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59" t="s">
        <v>580</v>
      </c>
      <c r="D72" s="359"/>
      <c r="E72" s="359"/>
      <c r="F72" s="35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5" zoomScaleNormal="85" workbookViewId="0">
      <selection activeCell="F54" sqref="F54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Hanau 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Hanau und Großkrotzenburg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9870097800007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42278</v>
      </c>
      <c r="E8" s="130"/>
      <c r="F8" s="130"/>
      <c r="H8" s="128" t="s">
        <v>493</v>
      </c>
      <c r="J8" s="132">
        <f>COUNTA(D12:D98)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6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4" t="s">
        <v>648</v>
      </c>
    </row>
    <row r="11" spans="2:26" ht="15.75" thickBot="1">
      <c r="B11" s="139" t="s">
        <v>494</v>
      </c>
      <c r="C11" s="140" t="s">
        <v>509</v>
      </c>
      <c r="D11" s="303" t="s">
        <v>248</v>
      </c>
      <c r="E11" s="164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1">
        <v>1</v>
      </c>
      <c r="C12" s="142" t="str">
        <f t="shared" ref="C12:C39" si="0">$D$6</f>
        <v>Hanau und Großkrotzenburg</v>
      </c>
      <c r="D12" s="62" t="s">
        <v>248</v>
      </c>
      <c r="E12" s="165" t="s">
        <v>19</v>
      </c>
      <c r="F12" s="306" t="str">
        <f>VLOOKUP($E12,'BDEW-Standard'!$B$3:$M$194,F$9,0)</f>
        <v>F13</v>
      </c>
      <c r="H12" s="277">
        <f>ROUND(VLOOKUP($E12,'BDEW-Standard'!$B$3:$M$194,H$9,0),7)</f>
        <v>3.0553842000000002</v>
      </c>
      <c r="I12" s="277">
        <f>ROUND(VLOOKUP($E12,'BDEW-Standard'!$B$3:$M$194,I$9,0),7)</f>
        <v>-37.183637400000002</v>
      </c>
      <c r="J12" s="277">
        <f>ROUND(VLOOKUP($E12,'BDEW-Standard'!$B$3:$M$194,J$9,0),7)</f>
        <v>5.6810824999999996</v>
      </c>
      <c r="K12" s="277">
        <f>ROUND(VLOOKUP($E12,'BDEW-Standard'!$B$3:$M$194,K$9,0),7)</f>
        <v>9.5018400000000003E-2</v>
      </c>
      <c r="L12" s="278">
        <f>ROUND(VLOOKUP($E12,'BDEW-Standard'!$B$3:$M$194,L$9,0),1)</f>
        <v>40</v>
      </c>
      <c r="M12" s="277">
        <f>ROUND(VLOOKUP($E12,'BDEW-Standard'!$B$3:$M$194,M$9,0),7)</f>
        <v>0</v>
      </c>
      <c r="N12" s="277">
        <f>ROUND(VLOOKUP($E12,'BDEW-Standard'!$B$3:$M$194,N$9,0),7)</f>
        <v>0</v>
      </c>
      <c r="O12" s="277">
        <f>ROUND(VLOOKUP($E12,'BDEW-Standard'!$B$3:$M$194,O$9,0),7)</f>
        <v>0</v>
      </c>
      <c r="P12" s="277">
        <f>ROUND(VLOOKUP($E12,'BDEW-Standard'!$B$3:$M$194,P$9,0),7)</f>
        <v>0</v>
      </c>
      <c r="Q12" s="279">
        <f t="shared" ref="Q12:Q24" si="1">($H12/(1+($I12/($Q$9-$L12))^$J12)+$K12)+MAX($M12*$Q$9+$N12,$O12*$Q$9+$P12)</f>
        <v>1.008032029163995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3" customFormat="1">
      <c r="B13" s="144">
        <v>2</v>
      </c>
      <c r="C13" s="145" t="str">
        <f t="shared" si="0"/>
        <v>Hanau und Großkrotzenburg</v>
      </c>
      <c r="D13" s="62" t="s">
        <v>248</v>
      </c>
      <c r="E13" s="165" t="s">
        <v>27</v>
      </c>
      <c r="F13" s="306" t="str">
        <f>VLOOKUP($E13,'BDEW-Standard'!$B$3:$M$194,F$9,0)</f>
        <v>F23</v>
      </c>
      <c r="H13" s="277">
        <f>ROUND(VLOOKUP($E13,'BDEW-Standard'!$B$3:$M$194,H$9,0),7)</f>
        <v>2.3987552000000001</v>
      </c>
      <c r="I13" s="277">
        <f>ROUND(VLOOKUP($E13,'BDEW-Standard'!$B$3:$M$194,I$9,0),7)</f>
        <v>-34.723487800000001</v>
      </c>
      <c r="J13" s="277">
        <f>ROUND(VLOOKUP($E13,'BDEW-Standard'!$B$3:$M$194,J$9,0),7)</f>
        <v>5.7996445999999997</v>
      </c>
      <c r="K13" s="277">
        <f>ROUND(VLOOKUP($E13,'BDEW-Standard'!$B$3:$M$194,K$9,0),7)</f>
        <v>0.1175349</v>
      </c>
      <c r="L13" s="278">
        <f>ROUND(VLOOKUP($E13,'BDEW-Standard'!$B$3:$M$194,L$9,0),1)</f>
        <v>40</v>
      </c>
      <c r="M13" s="277">
        <f>ROUND(VLOOKUP($E13,'BDEW-Standard'!$B$3:$M$194,M$9,0),7)</f>
        <v>0</v>
      </c>
      <c r="N13" s="277">
        <f>ROUND(VLOOKUP($E13,'BDEW-Standard'!$B$3:$M$194,N$9,0),7)</f>
        <v>0</v>
      </c>
      <c r="O13" s="277">
        <f>ROUND(VLOOKUP($E13,'BDEW-Standard'!$B$3:$M$194,O$9,0),7)</f>
        <v>0</v>
      </c>
      <c r="P13" s="277">
        <f>ROUND(VLOOKUP($E13,'BDEW-Standard'!$B$3:$M$194,P$9,0),7)</f>
        <v>0</v>
      </c>
      <c r="Q13" s="279">
        <f t="shared" si="1"/>
        <v>1.0380253961614969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>7-SUM(R13:W13)</f>
        <v>1</v>
      </c>
      <c r="Y13" s="302"/>
      <c r="Z13" s="211"/>
    </row>
    <row r="14" spans="2:26" s="143" customFormat="1">
      <c r="B14" s="144">
        <v>5</v>
      </c>
      <c r="C14" s="145" t="str">
        <f t="shared" si="0"/>
        <v>Hanau und Großkrotzenburg</v>
      </c>
      <c r="D14" s="62" t="s">
        <v>248</v>
      </c>
      <c r="E14" s="165" t="s">
        <v>4</v>
      </c>
      <c r="F14" s="306" t="str">
        <f>VLOOKUP($E14,'BDEW-Standard'!$B$3:$M$94,F$9,0)</f>
        <v>HK3</v>
      </c>
      <c r="H14" s="277">
        <f>ROUND(VLOOKUP($E14,'BDEW-Standard'!$B$3:$M$94,H$9,0),7)</f>
        <v>0.40409319999999999</v>
      </c>
      <c r="I14" s="277">
        <f>ROUND(VLOOKUP($E14,'BDEW-Standard'!$B$3:$M$94,I$9,0),7)</f>
        <v>-24.439296800000001</v>
      </c>
      <c r="J14" s="277">
        <f>ROUND(VLOOKUP($E14,'BDEW-Standard'!$B$3:$M$94,J$9,0),7)</f>
        <v>6.5718174999999999</v>
      </c>
      <c r="K14" s="277">
        <f>ROUND(VLOOKUP($E14,'BDEW-Standard'!$B$3:$M$94,K$9,0),7)</f>
        <v>0.71077100000000004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1.0561214000512988</v>
      </c>
      <c r="R14" s="280">
        <f>ROUND(VLOOKUP(MID($E14,4,3),'Wochentag F(WT)'!$B$7:$J$22,R$9,0),4)</f>
        <v>1</v>
      </c>
      <c r="S14" s="280">
        <f>ROUND(VLOOKUP(MID($E14,4,3),'Wochentag F(WT)'!$B$7:$J$22,S$9,0),4)</f>
        <v>1</v>
      </c>
      <c r="T14" s="280">
        <f>ROUND(VLOOKUP(MID($E14,4,3),'Wochentag F(WT)'!$B$7:$J$22,T$9,0),4)</f>
        <v>1</v>
      </c>
      <c r="U14" s="280">
        <f>ROUND(VLOOKUP(MID($E14,4,3),'Wochentag F(WT)'!$B$7:$J$22,U$9,0),4)</f>
        <v>1</v>
      </c>
      <c r="V14" s="280">
        <f>ROUND(VLOOKUP(MID($E14,4,3),'Wochentag F(WT)'!$B$7:$J$22,V$9,0),4)</f>
        <v>1</v>
      </c>
      <c r="W14" s="280">
        <f>ROUND(VLOOKUP(MID($E14,4,3),'Wochentag F(WT)'!$B$7:$J$22,W$9,0),4)</f>
        <v>1</v>
      </c>
      <c r="X14" s="281">
        <f t="shared" ref="X14:X24" si="2">7-SUM(R14:W14)</f>
        <v>1</v>
      </c>
      <c r="Y14" s="302"/>
      <c r="Z14" s="211"/>
    </row>
    <row r="15" spans="2:26" s="143" customFormat="1">
      <c r="B15" s="144">
        <v>6</v>
      </c>
      <c r="C15" s="145" t="str">
        <f t="shared" si="0"/>
        <v>Hanau und Großkrotzenburg</v>
      </c>
      <c r="D15" s="62" t="s">
        <v>248</v>
      </c>
      <c r="E15" s="165" t="s">
        <v>667</v>
      </c>
      <c r="F15" s="306" t="str">
        <f>VLOOKUP($E15,'BDEW-Standard'!$B$3:$M$94,F$9,0)</f>
        <v>MK3</v>
      </c>
      <c r="H15" s="277">
        <f>ROUND(VLOOKUP($E15,'BDEW-Standard'!$B$3:$M$94,H$9,0),7)</f>
        <v>2.7882424000000001</v>
      </c>
      <c r="I15" s="277">
        <f>ROUND(VLOOKUP($E15,'BDEW-Standard'!$B$3:$M$94,I$9,0),7)</f>
        <v>-34.880612999999997</v>
      </c>
      <c r="J15" s="277">
        <f>ROUND(VLOOKUP($E15,'BDEW-Standard'!$B$3:$M$94,J$9,0),7)</f>
        <v>6.5951899000000003</v>
      </c>
      <c r="K15" s="277">
        <f>ROUND(VLOOKUP($E15,'BDEW-Standard'!$B$3:$M$94,K$9,0),7)</f>
        <v>5.4032900000000002E-2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1.0622306107520199</v>
      </c>
      <c r="R15" s="280">
        <f>ROUND(VLOOKUP(MID($E15,4,3),'Wochentag F(WT)'!$B$7:$J$22,R$9,0),4)</f>
        <v>1.0699000000000001</v>
      </c>
      <c r="S15" s="280">
        <f>ROUND(VLOOKUP(MID($E15,4,3),'Wochentag F(WT)'!$B$7:$J$22,S$9,0),4)</f>
        <v>1.0365</v>
      </c>
      <c r="T15" s="280">
        <f>ROUND(VLOOKUP(MID($E15,4,3),'Wochentag F(WT)'!$B$7:$J$22,T$9,0),4)</f>
        <v>0.99329999999999996</v>
      </c>
      <c r="U15" s="280">
        <f>ROUND(VLOOKUP(MID($E15,4,3),'Wochentag F(WT)'!$B$7:$J$22,U$9,0),4)</f>
        <v>0.99480000000000002</v>
      </c>
      <c r="V15" s="280">
        <f>ROUND(VLOOKUP(MID($E15,4,3),'Wochentag F(WT)'!$B$7:$J$22,V$9,0),4)</f>
        <v>1.0659000000000001</v>
      </c>
      <c r="W15" s="280">
        <f>ROUND(VLOOKUP(MID($E15,4,3),'Wochentag F(WT)'!$B$7:$J$22,W$9,0),4)</f>
        <v>0.93620000000000003</v>
      </c>
      <c r="X15" s="281">
        <f t="shared" si="2"/>
        <v>0.90339999999999954</v>
      </c>
      <c r="Y15" s="302"/>
      <c r="Z15" s="211"/>
    </row>
    <row r="16" spans="2:26" s="143" customFormat="1">
      <c r="B16" s="144">
        <v>7</v>
      </c>
      <c r="C16" s="145" t="str">
        <f t="shared" si="0"/>
        <v>Hanau und Großkrotzenburg</v>
      </c>
      <c r="D16" s="62" t="s">
        <v>248</v>
      </c>
      <c r="E16" s="165" t="s">
        <v>668</v>
      </c>
      <c r="F16" s="306" t="str">
        <f>VLOOKUP($E16,'BDEW-Standard'!$B$3:$M$94,F$9,0)</f>
        <v>HA3</v>
      </c>
      <c r="H16" s="277">
        <f>ROUND(VLOOKUP($E16,'BDEW-Standard'!$B$3:$M$94,H$9,0),7)</f>
        <v>3.5811213999999998</v>
      </c>
      <c r="I16" s="277">
        <f>ROUND(VLOOKUP($E16,'BDEW-Standard'!$B$3:$M$94,I$9,0),7)</f>
        <v>-36.965006500000001</v>
      </c>
      <c r="J16" s="277">
        <f>ROUND(VLOOKUP($E16,'BDEW-Standard'!$B$3:$M$94,J$9,0),7)</f>
        <v>7.2256947</v>
      </c>
      <c r="K16" s="277">
        <f>ROUND(VLOOKUP($E16,'BDEW-Standard'!$B$3:$M$94,K$9,0),7)</f>
        <v>4.4841600000000002E-2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0.97852945357176691</v>
      </c>
      <c r="R16" s="280">
        <f>ROUND(VLOOKUP(MID($E16,4,3),'Wochentag F(WT)'!$B$7:$J$22,R$9,0),4)</f>
        <v>1.0358000000000001</v>
      </c>
      <c r="S16" s="280">
        <f>ROUND(VLOOKUP(MID($E16,4,3),'Wochentag F(WT)'!$B$7:$J$22,S$9,0),4)</f>
        <v>1.0232000000000001</v>
      </c>
      <c r="T16" s="280">
        <f>ROUND(VLOOKUP(MID($E16,4,3),'Wochentag F(WT)'!$B$7:$J$22,T$9,0),4)</f>
        <v>1.0251999999999999</v>
      </c>
      <c r="U16" s="280">
        <f>ROUND(VLOOKUP(MID($E16,4,3),'Wochentag F(WT)'!$B$7:$J$22,U$9,0),4)</f>
        <v>1.0295000000000001</v>
      </c>
      <c r="V16" s="280">
        <f>ROUND(VLOOKUP(MID($E16,4,3),'Wochentag F(WT)'!$B$7:$J$22,V$9,0),4)</f>
        <v>1.0253000000000001</v>
      </c>
      <c r="W16" s="280">
        <f>ROUND(VLOOKUP(MID($E16,4,3),'Wochentag F(WT)'!$B$7:$J$22,W$9,0),4)</f>
        <v>0.96750000000000003</v>
      </c>
      <c r="X16" s="281">
        <f t="shared" si="2"/>
        <v>0.89350000000000041</v>
      </c>
      <c r="Y16" s="302"/>
      <c r="Z16" s="211"/>
    </row>
    <row r="17" spans="2:26" s="143" customFormat="1">
      <c r="B17" s="144">
        <v>8</v>
      </c>
      <c r="C17" s="145" t="str">
        <f t="shared" si="0"/>
        <v>Hanau und Großkrotzenburg</v>
      </c>
      <c r="D17" s="62" t="s">
        <v>248</v>
      </c>
      <c r="E17" s="165" t="s">
        <v>669</v>
      </c>
      <c r="F17" s="306" t="str">
        <f>VLOOKUP($E17,'BDEW-Standard'!$B$3:$M$94,F$9,0)</f>
        <v>BD3</v>
      </c>
      <c r="H17" s="277">
        <f>ROUND(VLOOKUP($E17,'BDEW-Standard'!$B$3:$M$94,H$9,0),7)</f>
        <v>2.9177027</v>
      </c>
      <c r="I17" s="277">
        <f>ROUND(VLOOKUP($E17,'BDEW-Standard'!$B$3:$M$94,I$9,0),7)</f>
        <v>-36.179411700000003</v>
      </c>
      <c r="J17" s="277">
        <f>ROUND(VLOOKUP($E17,'BDEW-Standard'!$B$3:$M$94,J$9,0),7)</f>
        <v>5.9265162</v>
      </c>
      <c r="K17" s="277">
        <f>ROUND(VLOOKUP($E17,'BDEW-Standard'!$B$3:$M$94,K$9,0),7)</f>
        <v>0.11519119999999999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1.0656106174494469</v>
      </c>
      <c r="R17" s="280">
        <f>ROUND(VLOOKUP(MID($E17,4,3),'Wochentag F(WT)'!$B$7:$J$22,R$9,0),4)</f>
        <v>1.1052</v>
      </c>
      <c r="S17" s="280">
        <f>ROUND(VLOOKUP(MID($E17,4,3),'Wochentag F(WT)'!$B$7:$J$22,S$9,0),4)</f>
        <v>1.0857000000000001</v>
      </c>
      <c r="T17" s="280">
        <f>ROUND(VLOOKUP(MID($E17,4,3),'Wochentag F(WT)'!$B$7:$J$22,T$9,0),4)</f>
        <v>1.0378000000000001</v>
      </c>
      <c r="U17" s="280">
        <f>ROUND(VLOOKUP(MID($E17,4,3),'Wochentag F(WT)'!$B$7:$J$22,U$9,0),4)</f>
        <v>1.0622</v>
      </c>
      <c r="V17" s="280">
        <f>ROUND(VLOOKUP(MID($E17,4,3),'Wochentag F(WT)'!$B$7:$J$22,V$9,0),4)</f>
        <v>1.0266</v>
      </c>
      <c r="W17" s="280">
        <f>ROUND(VLOOKUP(MID($E17,4,3),'Wochentag F(WT)'!$B$7:$J$22,W$9,0),4)</f>
        <v>0.76290000000000002</v>
      </c>
      <c r="X17" s="281">
        <f t="shared" si="2"/>
        <v>0.91959999999999997</v>
      </c>
      <c r="Y17" s="302"/>
      <c r="Z17" s="211"/>
    </row>
    <row r="18" spans="2:26" s="143" customFormat="1">
      <c r="B18" s="144">
        <v>9</v>
      </c>
      <c r="C18" s="145" t="str">
        <f t="shared" si="0"/>
        <v>Hanau und Großkrotzenburg</v>
      </c>
      <c r="D18" s="62" t="s">
        <v>248</v>
      </c>
      <c r="E18" s="165" t="s">
        <v>670</v>
      </c>
      <c r="F18" s="306" t="str">
        <f>VLOOKUP($E18,'BDEW-Standard'!$B$3:$M$94,F$9,0)</f>
        <v>KO3</v>
      </c>
      <c r="H18" s="277">
        <f>ROUND(VLOOKUP($E18,'BDEW-Standard'!$B$3:$M$94,H$9,0),7)</f>
        <v>2.7172288</v>
      </c>
      <c r="I18" s="277">
        <f>ROUND(VLOOKUP($E18,'BDEW-Standard'!$B$3:$M$94,I$9,0),7)</f>
        <v>-35.141256300000002</v>
      </c>
      <c r="J18" s="277">
        <f>ROUND(VLOOKUP($E18,'BDEW-Standard'!$B$3:$M$94,J$9,0),7)</f>
        <v>7.1303394999999998</v>
      </c>
      <c r="K18" s="277">
        <f>ROUND(VLOOKUP($E18,'BDEW-Standard'!$B$3:$M$94,K$9,0),7)</f>
        <v>0.14184720000000001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1.0630299199876638</v>
      </c>
      <c r="R18" s="280">
        <f>ROUND(VLOOKUP(MID($E18,4,3),'Wochentag F(WT)'!$B$7:$J$22,R$9,0),4)</f>
        <v>1.0354000000000001</v>
      </c>
      <c r="S18" s="280">
        <f>ROUND(VLOOKUP(MID($E18,4,3),'Wochentag F(WT)'!$B$7:$J$22,S$9,0),4)</f>
        <v>1.0523</v>
      </c>
      <c r="T18" s="280">
        <f>ROUND(VLOOKUP(MID($E18,4,3),'Wochentag F(WT)'!$B$7:$J$22,T$9,0),4)</f>
        <v>1.0448999999999999</v>
      </c>
      <c r="U18" s="280">
        <f>ROUND(VLOOKUP(MID($E18,4,3),'Wochentag F(WT)'!$B$7:$J$22,U$9,0),4)</f>
        <v>1.0494000000000001</v>
      </c>
      <c r="V18" s="280">
        <f>ROUND(VLOOKUP(MID($E18,4,3),'Wochentag F(WT)'!$B$7:$J$22,V$9,0),4)</f>
        <v>0.98850000000000005</v>
      </c>
      <c r="W18" s="280">
        <f>ROUND(VLOOKUP(MID($E18,4,3),'Wochentag F(WT)'!$B$7:$J$22,W$9,0),4)</f>
        <v>0.88600000000000001</v>
      </c>
      <c r="X18" s="281">
        <f t="shared" si="2"/>
        <v>0.94349999999999934</v>
      </c>
      <c r="Y18" s="302"/>
      <c r="Z18" s="211"/>
    </row>
    <row r="19" spans="2:26" s="143" customFormat="1">
      <c r="B19" s="144">
        <v>10</v>
      </c>
      <c r="C19" s="145" t="str">
        <f t="shared" si="0"/>
        <v>Hanau und Großkrotzenburg</v>
      </c>
      <c r="D19" s="62" t="s">
        <v>248</v>
      </c>
      <c r="E19" s="165" t="s">
        <v>671</v>
      </c>
      <c r="F19" s="306" t="str">
        <f>VLOOKUP($E19,'BDEW-Standard'!$B$3:$M$94,F$9,0)</f>
        <v>BH3</v>
      </c>
      <c r="H19" s="277">
        <f>ROUND(VLOOKUP($E19,'BDEW-Standard'!$B$3:$M$94,H$9,0),7)</f>
        <v>2.0102471999999998</v>
      </c>
      <c r="I19" s="277">
        <f>ROUND(VLOOKUP($E19,'BDEW-Standard'!$B$3:$M$94,I$9,0),7)</f>
        <v>-35.253212400000002</v>
      </c>
      <c r="J19" s="277">
        <f>ROUND(VLOOKUP($E19,'BDEW-Standard'!$B$3:$M$94,J$9,0),7)</f>
        <v>6.1544406</v>
      </c>
      <c r="K19" s="277">
        <f>ROUND(VLOOKUP($E19,'BDEW-Standard'!$B$3:$M$94,K$9,0),7)</f>
        <v>0.32947409999999999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1.0436896084076008</v>
      </c>
      <c r="R19" s="280">
        <f>ROUND(VLOOKUP(MID($E19,4,3),'Wochentag F(WT)'!$B$7:$J$22,R$9,0),4)</f>
        <v>0.97670000000000001</v>
      </c>
      <c r="S19" s="280">
        <f>ROUND(VLOOKUP(MID($E19,4,3),'Wochentag F(WT)'!$B$7:$J$22,S$9,0),4)</f>
        <v>1.0388999999999999</v>
      </c>
      <c r="T19" s="280">
        <f>ROUND(VLOOKUP(MID($E19,4,3),'Wochentag F(WT)'!$B$7:$J$22,T$9,0),4)</f>
        <v>1.0027999999999999</v>
      </c>
      <c r="U19" s="280">
        <f>ROUND(VLOOKUP(MID($E19,4,3),'Wochentag F(WT)'!$B$7:$J$22,U$9,0),4)</f>
        <v>1.0162</v>
      </c>
      <c r="V19" s="280">
        <f>ROUND(VLOOKUP(MID($E19,4,3),'Wochentag F(WT)'!$B$7:$J$22,V$9,0),4)</f>
        <v>1.0024</v>
      </c>
      <c r="W19" s="280">
        <f>ROUND(VLOOKUP(MID($E19,4,3),'Wochentag F(WT)'!$B$7:$J$22,W$9,0),4)</f>
        <v>1.0043</v>
      </c>
      <c r="X19" s="281">
        <f t="shared" si="2"/>
        <v>0.95870000000000122</v>
      </c>
      <c r="Y19" s="302"/>
      <c r="Z19" s="211"/>
    </row>
    <row r="20" spans="2:26" s="143" customFormat="1">
      <c r="B20" s="144">
        <v>11</v>
      </c>
      <c r="C20" s="145" t="str">
        <f t="shared" si="0"/>
        <v>Hanau und Großkrotzenburg</v>
      </c>
      <c r="D20" s="62" t="s">
        <v>248</v>
      </c>
      <c r="E20" s="165" t="s">
        <v>672</v>
      </c>
      <c r="F20" s="306" t="str">
        <f>VLOOKUP($E20,'BDEW-Standard'!$B$3:$M$94,F$9,0)</f>
        <v>GA3</v>
      </c>
      <c r="H20" s="277">
        <f>ROUND(VLOOKUP($E20,'BDEW-Standard'!$B$3:$M$94,H$9,0),7)</f>
        <v>2.2850164999999998</v>
      </c>
      <c r="I20" s="277">
        <f>ROUND(VLOOKUP($E20,'BDEW-Standard'!$B$3:$M$94,I$9,0),7)</f>
        <v>-36.287858399999998</v>
      </c>
      <c r="J20" s="277">
        <f>ROUND(VLOOKUP($E20,'BDEW-Standard'!$B$3:$M$94,J$9,0),7)</f>
        <v>6.5885125999999996</v>
      </c>
      <c r="K20" s="277">
        <f>ROUND(VLOOKUP($E20,'BDEW-Standard'!$B$3:$M$94,K$9,0),7)</f>
        <v>0.31505349999999999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1.0096183914256316</v>
      </c>
      <c r="R20" s="280">
        <f>ROUND(VLOOKUP(MID($E20,4,3),'Wochentag F(WT)'!$B$7:$J$22,R$9,0),4)</f>
        <v>0.93220000000000003</v>
      </c>
      <c r="S20" s="280">
        <f>ROUND(VLOOKUP(MID($E20,4,3),'Wochentag F(WT)'!$B$7:$J$22,S$9,0),4)</f>
        <v>0.98939999999999995</v>
      </c>
      <c r="T20" s="280">
        <f>ROUND(VLOOKUP(MID($E20,4,3),'Wochentag F(WT)'!$B$7:$J$22,T$9,0),4)</f>
        <v>1.0033000000000001</v>
      </c>
      <c r="U20" s="280">
        <f>ROUND(VLOOKUP(MID($E20,4,3),'Wochentag F(WT)'!$B$7:$J$22,U$9,0),4)</f>
        <v>1.0108999999999999</v>
      </c>
      <c r="V20" s="280">
        <f>ROUND(VLOOKUP(MID($E20,4,3),'Wochentag F(WT)'!$B$7:$J$22,V$9,0),4)</f>
        <v>1.018</v>
      </c>
      <c r="W20" s="280">
        <f>ROUND(VLOOKUP(MID($E20,4,3),'Wochentag F(WT)'!$B$7:$J$22,W$9,0),4)</f>
        <v>1.0356000000000001</v>
      </c>
      <c r="X20" s="281">
        <f t="shared" si="2"/>
        <v>1.0106000000000002</v>
      </c>
      <c r="Y20" s="302"/>
      <c r="Z20" s="211"/>
    </row>
    <row r="21" spans="2:26" s="143" customFormat="1">
      <c r="B21" s="144">
        <v>12</v>
      </c>
      <c r="C21" s="145" t="str">
        <f t="shared" si="0"/>
        <v>Hanau und Großkrotzenburg</v>
      </c>
      <c r="D21" s="62" t="s">
        <v>248</v>
      </c>
      <c r="E21" s="165" t="s">
        <v>673</v>
      </c>
      <c r="F21" s="306" t="str">
        <f>VLOOKUP($E21,'BDEW-Standard'!$B$3:$M$94,F$9,0)</f>
        <v>BA3</v>
      </c>
      <c r="H21" s="277">
        <f>ROUND(VLOOKUP($E21,'BDEW-Standard'!$B$3:$M$94,H$9,0),7)</f>
        <v>0.62619619999999998</v>
      </c>
      <c r="I21" s="277">
        <f>ROUND(VLOOKUP($E21,'BDEW-Standard'!$B$3:$M$94,I$9,0),7)</f>
        <v>-33</v>
      </c>
      <c r="J21" s="277">
        <f>ROUND(VLOOKUP($E21,'BDEW-Standard'!$B$3:$M$94,J$9,0),7)</f>
        <v>5.7212303000000002</v>
      </c>
      <c r="K21" s="277">
        <f>ROUND(VLOOKUP($E21,'BDEW-Standard'!$B$3:$M$94,K$9,0),7)</f>
        <v>0.78556550000000003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1.0711738317583412</v>
      </c>
      <c r="R21" s="280">
        <f>ROUND(VLOOKUP(MID($E21,4,3),'Wochentag F(WT)'!$B$7:$J$22,R$9,0),4)</f>
        <v>1.0848</v>
      </c>
      <c r="S21" s="280">
        <f>ROUND(VLOOKUP(MID($E21,4,3),'Wochentag F(WT)'!$B$7:$J$22,S$9,0),4)</f>
        <v>1.1211</v>
      </c>
      <c r="T21" s="280">
        <f>ROUND(VLOOKUP(MID($E21,4,3),'Wochentag F(WT)'!$B$7:$J$22,T$9,0),4)</f>
        <v>1.0769</v>
      </c>
      <c r="U21" s="280">
        <f>ROUND(VLOOKUP(MID($E21,4,3),'Wochentag F(WT)'!$B$7:$J$22,U$9,0),4)</f>
        <v>1.1353</v>
      </c>
      <c r="V21" s="280">
        <f>ROUND(VLOOKUP(MID($E21,4,3),'Wochentag F(WT)'!$B$7:$J$22,V$9,0),4)</f>
        <v>1.1402000000000001</v>
      </c>
      <c r="W21" s="280">
        <f>ROUND(VLOOKUP(MID($E21,4,3),'Wochentag F(WT)'!$B$7:$J$22,W$9,0),4)</f>
        <v>0.48520000000000002</v>
      </c>
      <c r="X21" s="281">
        <f t="shared" si="2"/>
        <v>0.95650000000000013</v>
      </c>
      <c r="Y21" s="302"/>
      <c r="Z21" s="211"/>
    </row>
    <row r="22" spans="2:26" s="143" customFormat="1">
      <c r="B22" s="144">
        <v>13</v>
      </c>
      <c r="C22" s="145" t="str">
        <f t="shared" si="0"/>
        <v>Hanau und Großkrotzenburg</v>
      </c>
      <c r="D22" s="62" t="s">
        <v>248</v>
      </c>
      <c r="E22" s="165" t="s">
        <v>674</v>
      </c>
      <c r="F22" s="306" t="str">
        <f>VLOOKUP($E22,'BDEW-Standard'!$B$3:$M$94,F$9,0)</f>
        <v>WA3</v>
      </c>
      <c r="H22" s="277">
        <f>ROUND(VLOOKUP($E22,'BDEW-Standard'!$B$3:$M$94,H$9,0),7)</f>
        <v>0.76572899999999999</v>
      </c>
      <c r="I22" s="277">
        <f>ROUND(VLOOKUP($E22,'BDEW-Standard'!$B$3:$M$94,I$9,0),7)</f>
        <v>-36.023791199999998</v>
      </c>
      <c r="J22" s="277">
        <f>ROUND(VLOOKUP($E22,'BDEW-Standard'!$B$3:$M$94,J$9,0),7)</f>
        <v>4.8662747</v>
      </c>
      <c r="K22" s="277">
        <f>ROUND(VLOOKUP($E22,'BDEW-Standard'!$B$3:$M$94,K$9,0),7)</f>
        <v>0.80494250000000001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1.0804258319686442</v>
      </c>
      <c r="R22" s="280">
        <f>ROUND(VLOOKUP(MID($E22,4,3),'Wochentag F(WT)'!$B$7:$J$22,R$9,0),4)</f>
        <v>1.2457</v>
      </c>
      <c r="S22" s="280">
        <f>ROUND(VLOOKUP(MID($E22,4,3),'Wochentag F(WT)'!$B$7:$J$22,S$9,0),4)</f>
        <v>1.2615000000000001</v>
      </c>
      <c r="T22" s="280">
        <f>ROUND(VLOOKUP(MID($E22,4,3),'Wochentag F(WT)'!$B$7:$J$22,T$9,0),4)</f>
        <v>1.2706999999999999</v>
      </c>
      <c r="U22" s="280">
        <f>ROUND(VLOOKUP(MID($E22,4,3),'Wochentag F(WT)'!$B$7:$J$22,U$9,0),4)</f>
        <v>1.2430000000000001</v>
      </c>
      <c r="V22" s="280">
        <f>ROUND(VLOOKUP(MID($E22,4,3),'Wochentag F(WT)'!$B$7:$J$22,V$9,0),4)</f>
        <v>1.1275999999999999</v>
      </c>
      <c r="W22" s="280">
        <f>ROUND(VLOOKUP(MID($E22,4,3),'Wochentag F(WT)'!$B$7:$J$22,W$9,0),4)</f>
        <v>0.38769999999999999</v>
      </c>
      <c r="X22" s="281">
        <f t="shared" si="2"/>
        <v>0.46379999999999999</v>
      </c>
      <c r="Y22" s="302"/>
      <c r="Z22" s="211"/>
    </row>
    <row r="23" spans="2:26" s="143" customFormat="1">
      <c r="B23" s="144">
        <v>14</v>
      </c>
      <c r="C23" s="145" t="str">
        <f t="shared" si="0"/>
        <v>Hanau und Großkrotzenburg</v>
      </c>
      <c r="D23" s="62" t="s">
        <v>248</v>
      </c>
      <c r="E23" s="165" t="s">
        <v>675</v>
      </c>
      <c r="F23" s="306" t="str">
        <f>VLOOKUP($E23,'BDEW-Standard'!$B$3:$M$94,F$9,0)</f>
        <v>GB3</v>
      </c>
      <c r="H23" s="277">
        <f>ROUND(VLOOKUP($E23,'BDEW-Standard'!$B$3:$M$94,H$9,0),7)</f>
        <v>3.2572741999999999</v>
      </c>
      <c r="I23" s="277">
        <f>ROUND(VLOOKUP($E23,'BDEW-Standard'!$B$3:$M$94,I$9,0),7)</f>
        <v>-37.5</v>
      </c>
      <c r="J23" s="277">
        <f>ROUND(VLOOKUP($E23,'BDEW-Standard'!$B$3:$M$94,J$9,0),7)</f>
        <v>6.3462148000000003</v>
      </c>
      <c r="K23" s="277">
        <f>ROUND(VLOOKUP($E23,'BDEW-Standard'!$B$3:$M$94,K$9,0),7)</f>
        <v>8.6622699999999997E-2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0.9584556323619029</v>
      </c>
      <c r="R23" s="280">
        <f>ROUND(VLOOKUP(MID($E23,4,3),'Wochentag F(WT)'!$B$7:$J$22,R$9,0),4)</f>
        <v>0.98970000000000002</v>
      </c>
      <c r="S23" s="280">
        <f>ROUND(VLOOKUP(MID($E23,4,3),'Wochentag F(WT)'!$B$7:$J$22,S$9,0),4)</f>
        <v>0.9627</v>
      </c>
      <c r="T23" s="280">
        <f>ROUND(VLOOKUP(MID($E23,4,3),'Wochentag F(WT)'!$B$7:$J$22,T$9,0),4)</f>
        <v>1.0507</v>
      </c>
      <c r="U23" s="280">
        <f>ROUND(VLOOKUP(MID($E23,4,3),'Wochentag F(WT)'!$B$7:$J$22,U$9,0),4)</f>
        <v>1.0551999999999999</v>
      </c>
      <c r="V23" s="280">
        <f>ROUND(VLOOKUP(MID($E23,4,3),'Wochentag F(WT)'!$B$7:$J$22,V$9,0),4)</f>
        <v>1.0297000000000001</v>
      </c>
      <c r="W23" s="280">
        <f>ROUND(VLOOKUP(MID($E23,4,3),'Wochentag F(WT)'!$B$7:$J$22,W$9,0),4)</f>
        <v>0.97670000000000001</v>
      </c>
      <c r="X23" s="281">
        <f t="shared" si="2"/>
        <v>0.9352999999999998</v>
      </c>
      <c r="Y23" s="302"/>
      <c r="Z23" s="211"/>
    </row>
    <row r="24" spans="2:26" s="143" customFormat="1">
      <c r="B24" s="144">
        <v>15</v>
      </c>
      <c r="C24" s="145" t="str">
        <f t="shared" si="0"/>
        <v>Hanau und Großkrotzenburg</v>
      </c>
      <c r="D24" s="62" t="s">
        <v>248</v>
      </c>
      <c r="E24" s="165" t="s">
        <v>676</v>
      </c>
      <c r="F24" s="306" t="str">
        <f>VLOOKUP($E24,'BDEW-Standard'!$B$3:$M$94,F$9,0)</f>
        <v>PD3</v>
      </c>
      <c r="H24" s="277">
        <f>ROUND(VLOOKUP($E24,'BDEW-Standard'!$B$3:$M$94,H$9,0),7)</f>
        <v>3.2</v>
      </c>
      <c r="I24" s="277">
        <f>ROUND(VLOOKUP($E24,'BDEW-Standard'!$B$3:$M$94,I$9,0),7)</f>
        <v>-35.799999999999997</v>
      </c>
      <c r="J24" s="277">
        <f>ROUND(VLOOKUP($E24,'BDEW-Standard'!$B$3:$M$94,J$9,0),7)</f>
        <v>8.4</v>
      </c>
      <c r="K24" s="277">
        <f>ROUND(VLOOKUP($E24,'BDEW-Standard'!$B$3:$M$94,K$9,0),7)</f>
        <v>9.3848600000000004E-2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0.99106250024889242</v>
      </c>
      <c r="R24" s="280">
        <f>ROUND(VLOOKUP(MID($E24,4,3),'Wochentag F(WT)'!$B$7:$J$22,R$9,0),4)</f>
        <v>1.0214000000000001</v>
      </c>
      <c r="S24" s="280">
        <f>ROUND(VLOOKUP(MID($E24,4,3),'Wochentag F(WT)'!$B$7:$J$22,S$9,0),4)</f>
        <v>1.0866</v>
      </c>
      <c r="T24" s="280">
        <f>ROUND(VLOOKUP(MID($E24,4,3),'Wochentag F(WT)'!$B$7:$J$22,T$9,0),4)</f>
        <v>1.0720000000000001</v>
      </c>
      <c r="U24" s="280">
        <f>ROUND(VLOOKUP(MID($E24,4,3),'Wochentag F(WT)'!$B$7:$J$22,U$9,0),4)</f>
        <v>1.0557000000000001</v>
      </c>
      <c r="V24" s="280">
        <f>ROUND(VLOOKUP(MID($E24,4,3),'Wochentag F(WT)'!$B$7:$J$22,V$9,0),4)</f>
        <v>1.0117</v>
      </c>
      <c r="W24" s="280">
        <f>ROUND(VLOOKUP(MID($E24,4,3),'Wochentag F(WT)'!$B$7:$J$22,W$9,0),4)</f>
        <v>0.90010000000000001</v>
      </c>
      <c r="X24" s="281">
        <f t="shared" si="2"/>
        <v>0.85249999999999915</v>
      </c>
      <c r="Y24" s="302"/>
      <c r="Z24" s="211"/>
    </row>
    <row r="25" spans="2:26" s="143" customFormat="1">
      <c r="B25" s="144">
        <v>16</v>
      </c>
      <c r="C25" s="145" t="str">
        <f t="shared" si="0"/>
        <v>Hanau und Großkrotzenburg</v>
      </c>
      <c r="D25" s="62"/>
      <c r="E25" s="165"/>
      <c r="F25" s="306"/>
      <c r="H25" s="282"/>
      <c r="I25" s="282"/>
      <c r="J25" s="282"/>
      <c r="K25" s="282"/>
      <c r="L25" s="278"/>
      <c r="M25" s="282"/>
      <c r="N25" s="282"/>
      <c r="O25" s="282"/>
      <c r="P25" s="282"/>
      <c r="Q25" s="283"/>
      <c r="R25" s="284"/>
      <c r="S25" s="284"/>
      <c r="T25" s="284"/>
      <c r="U25" s="284"/>
      <c r="V25" s="284"/>
      <c r="W25" s="284"/>
      <c r="X25" s="285"/>
      <c r="Y25" s="302"/>
    </row>
    <row r="26" spans="2:26" s="143" customFormat="1">
      <c r="B26" s="144">
        <v>17</v>
      </c>
      <c r="C26" s="145" t="str">
        <f t="shared" si="0"/>
        <v>Hanau und Großkrotzenburg</v>
      </c>
      <c r="D26" s="62"/>
      <c r="E26" s="165"/>
      <c r="F26" s="306"/>
      <c r="H26" s="282"/>
      <c r="I26" s="282"/>
      <c r="J26" s="282"/>
      <c r="K26" s="282"/>
      <c r="L26" s="278"/>
      <c r="M26" s="282"/>
      <c r="N26" s="282"/>
      <c r="O26" s="282"/>
      <c r="P26" s="282"/>
      <c r="Q26" s="283"/>
      <c r="R26" s="284"/>
      <c r="S26" s="284"/>
      <c r="T26" s="284"/>
      <c r="U26" s="284"/>
      <c r="V26" s="284"/>
      <c r="W26" s="284"/>
      <c r="X26" s="285"/>
      <c r="Y26" s="302"/>
    </row>
    <row r="27" spans="2:26" s="143" customFormat="1">
      <c r="B27" s="144">
        <v>18</v>
      </c>
      <c r="C27" s="145" t="str">
        <f t="shared" si="0"/>
        <v>Hanau und Großkrotzenburg</v>
      </c>
      <c r="D27" s="62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3" customFormat="1">
      <c r="B28" s="144">
        <v>19</v>
      </c>
      <c r="C28" s="145" t="str">
        <f t="shared" si="0"/>
        <v>Hanau und Großkrotzenburg</v>
      </c>
      <c r="D28" s="62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3" customFormat="1">
      <c r="B29" s="144">
        <v>20</v>
      </c>
      <c r="C29" s="145" t="str">
        <f t="shared" si="0"/>
        <v>Hanau und Großkrotzenburg</v>
      </c>
      <c r="D29" s="62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3" customFormat="1">
      <c r="B30" s="144">
        <v>21</v>
      </c>
      <c r="C30" s="145" t="str">
        <f t="shared" si="0"/>
        <v>Hanau und Großkrotzenburg</v>
      </c>
      <c r="D30" s="62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3" customFormat="1">
      <c r="B31" s="144">
        <v>22</v>
      </c>
      <c r="C31" s="145" t="str">
        <f t="shared" si="0"/>
        <v>Hanau und Großkrotzenburg</v>
      </c>
      <c r="D31" s="62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3" customFormat="1">
      <c r="B32" s="144">
        <v>23</v>
      </c>
      <c r="C32" s="145" t="str">
        <f t="shared" si="0"/>
        <v>Hanau und Großkrotzenburg</v>
      </c>
      <c r="D32" s="62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3" customFormat="1">
      <c r="B33" s="144">
        <v>24</v>
      </c>
      <c r="C33" s="145" t="str">
        <f t="shared" si="0"/>
        <v>Hanau und Großkrotzenburg</v>
      </c>
      <c r="D33" s="62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3" customFormat="1">
      <c r="B34" s="144">
        <v>25</v>
      </c>
      <c r="C34" s="145" t="str">
        <f t="shared" si="0"/>
        <v>Hanau und Großkrotzenburg</v>
      </c>
      <c r="D34" s="62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3" customFormat="1">
      <c r="B35" s="144">
        <v>26</v>
      </c>
      <c r="C35" s="145" t="str">
        <f t="shared" si="0"/>
        <v>Hanau und Großkrotzenburg</v>
      </c>
      <c r="D35" s="62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3" customFormat="1">
      <c r="B36" s="144">
        <v>27</v>
      </c>
      <c r="C36" s="145" t="str">
        <f t="shared" si="0"/>
        <v>Hanau und Großkrotzenburg</v>
      </c>
      <c r="D36" s="62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3" customFormat="1">
      <c r="B37" s="144">
        <v>28</v>
      </c>
      <c r="C37" s="145" t="str">
        <f t="shared" si="0"/>
        <v>Hanau und Großkrotzenburg</v>
      </c>
      <c r="D37" s="62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3" customFormat="1">
      <c r="B38" s="144">
        <v>29</v>
      </c>
      <c r="C38" s="145" t="str">
        <f t="shared" si="0"/>
        <v>Hanau und Großkrotzenburg</v>
      </c>
      <c r="D38" s="62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3" customFormat="1">
      <c r="B39" s="144">
        <v>30</v>
      </c>
      <c r="C39" s="145" t="str">
        <f t="shared" si="0"/>
        <v>Hanau und Großkrotzenburg</v>
      </c>
      <c r="D39" s="62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/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39 H11:Y39">
    <cfRule type="expression" dxfId="13" priority="13">
      <formula>ISERROR(F11)</formula>
    </cfRule>
  </conditionalFormatting>
  <conditionalFormatting sqref="E25:F39 Y12:Y39 F12:F24">
    <cfRule type="duplicateValues" dxfId="12" priority="35"/>
  </conditionalFormatting>
  <conditionalFormatting sqref="E12">
    <cfRule type="duplicateValues" dxfId="11" priority="4"/>
  </conditionalFormatting>
  <conditionalFormatting sqref="E13">
    <cfRule type="duplicateValues" dxfId="10" priority="3"/>
  </conditionalFormatting>
  <conditionalFormatting sqref="E14:E24">
    <cfRule type="duplicateValues" dxfId="9" priority="1"/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39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D11:D39</xm:sqref>
        </x14:conditionalFormatting>
        <x14:conditionalFormatting xmlns:xm="http://schemas.microsoft.com/office/excel/2006/main">
          <x14:cfRule type="cellIs" priority="6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5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E25:E39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4" t="s">
        <v>344</v>
      </c>
      <c r="B1" s="215">
        <v>42173</v>
      </c>
      <c r="D1" s="131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4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8" t="s">
        <v>245</v>
      </c>
      <c r="B96" s="128" t="s">
        <v>55</v>
      </c>
      <c r="C96" s="128" t="s">
        <v>319</v>
      </c>
      <c r="D96" s="234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8" t="s">
        <v>245</v>
      </c>
      <c r="B97" s="128" t="s">
        <v>60</v>
      </c>
      <c r="C97" s="128" t="s">
        <v>324</v>
      </c>
      <c r="D97" s="234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8" t="s">
        <v>245</v>
      </c>
      <c r="B98" s="128" t="s">
        <v>65</v>
      </c>
      <c r="C98" s="128" t="s">
        <v>329</v>
      </c>
      <c r="D98" s="234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8" t="s">
        <v>245</v>
      </c>
      <c r="B99" s="128" t="s">
        <v>18</v>
      </c>
      <c r="C99" s="128" t="s">
        <v>282</v>
      </c>
      <c r="D99" s="234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4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4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4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4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4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4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4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4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4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4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4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4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4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4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4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4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4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4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4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4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4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4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4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4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4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4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4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4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4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4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4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4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4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4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4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4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4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4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4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4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4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4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4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4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4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4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4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4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4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4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4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4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4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4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4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4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4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4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4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O18" sqref="O1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Hanau Netz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Hanau und Großkrotzenburg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9870097800007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0" t="s">
        <v>455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5" t="s">
        <v>583</v>
      </c>
      <c r="C10" s="366"/>
      <c r="D10" s="94">
        <v>2</v>
      </c>
      <c r="E10" s="95" t="str">
        <f>IF(ISERROR(HLOOKUP(E$11,$M$9:$AD$35,$D10,0)),"",HLOOKUP(E$11,$M$9:$AD$35,$D10,0))</f>
        <v/>
      </c>
      <c r="F10" s="363" t="s">
        <v>395</v>
      </c>
      <c r="G10" s="363"/>
      <c r="H10" s="363"/>
      <c r="I10" s="363"/>
      <c r="J10" s="363"/>
      <c r="K10" s="363"/>
      <c r="L10" s="364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3">
        <f>MIN(SUMPRODUCT($M$11:$AD$11,M12:AD12),1)</f>
        <v>1</v>
      </c>
      <c r="F12" s="310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4">
        <f t="shared" ref="E13:E35" si="0">MIN(SUMPRODUCT($M$11:$AD$11,M13:AD13),1)</f>
        <v>0</v>
      </c>
      <c r="F13" s="311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4">
        <f t="shared" si="0"/>
        <v>0</v>
      </c>
      <c r="F14" s="311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4">
        <f t="shared" si="0"/>
        <v>0</v>
      </c>
      <c r="F15" s="311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4">
        <f t="shared" si="0"/>
        <v>1</v>
      </c>
      <c r="F16" s="311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4">
        <f t="shared" si="0"/>
        <v>1</v>
      </c>
      <c r="F17" s="311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4">
        <f t="shared" si="0"/>
        <v>1</v>
      </c>
      <c r="F18" s="311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8" t="s">
        <v>651</v>
      </c>
      <c r="C19" s="339"/>
      <c r="D19" s="111"/>
      <c r="E19" s="314">
        <v>1</v>
      </c>
      <c r="F19" s="311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4">
        <f t="shared" si="0"/>
        <v>1</v>
      </c>
      <c r="F20" s="311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4">
        <f t="shared" si="0"/>
        <v>1</v>
      </c>
      <c r="F21" s="311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4">
        <f t="shared" si="0"/>
        <v>1</v>
      </c>
      <c r="F22" s="311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4">
        <f t="shared" si="0"/>
        <v>1</v>
      </c>
      <c r="F23" s="311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4">
        <f t="shared" si="0"/>
        <v>1</v>
      </c>
      <c r="F24" s="311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4">
        <f t="shared" si="0"/>
        <v>0</v>
      </c>
      <c r="F25" s="311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4">
        <f t="shared" si="0"/>
        <v>0</v>
      </c>
      <c r="F26" s="311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8" t="s">
        <v>650</v>
      </c>
      <c r="C27" s="339"/>
      <c r="D27" s="111"/>
      <c r="E27" s="314">
        <v>1</v>
      </c>
      <c r="F27" s="311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4">
        <f t="shared" si="0"/>
        <v>1</v>
      </c>
      <c r="F28" s="311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2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9"/>
    </row>
    <row r="30" spans="2:30" ht="15">
      <c r="B30" s="116" t="s">
        <v>406</v>
      </c>
      <c r="C30" s="117"/>
      <c r="D30" s="111">
        <v>20</v>
      </c>
      <c r="E30" s="314">
        <f t="shared" si="0"/>
        <v>0</v>
      </c>
      <c r="F30" s="31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4">
        <f t="shared" si="0"/>
        <v>0</v>
      </c>
      <c r="F31" s="311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4">
        <f t="shared" si="0"/>
        <v>0</v>
      </c>
      <c r="F32" s="311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4">
        <f t="shared" si="0"/>
        <v>1</v>
      </c>
      <c r="F33" s="311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4">
        <f t="shared" si="0"/>
        <v>1</v>
      </c>
      <c r="F34" s="311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5">
        <f t="shared" si="0"/>
        <v>0</v>
      </c>
      <c r="F35" s="312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8" customWidth="1"/>
    <col min="16" max="16" width="16.5703125" style="236" customWidth="1"/>
    <col min="17" max="16384" width="11.42578125" style="236"/>
  </cols>
  <sheetData>
    <row r="1" spans="1:16" s="235" customFormat="1">
      <c r="A1" s="131" t="s">
        <v>452</v>
      </c>
      <c r="B1" s="128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7" t="s">
        <v>249</v>
      </c>
      <c r="B3" s="237" t="s">
        <v>86</v>
      </c>
      <c r="C3" s="238"/>
      <c r="D3" s="369" t="s">
        <v>454</v>
      </c>
      <c r="E3" s="370"/>
      <c r="F3" s="370"/>
      <c r="G3" s="370"/>
      <c r="H3" s="370"/>
      <c r="I3" s="370"/>
      <c r="J3" s="371"/>
      <c r="K3" s="239"/>
      <c r="L3" s="239"/>
      <c r="M3" s="239"/>
      <c r="N3" s="239"/>
      <c r="O3" s="240"/>
      <c r="P3" s="239"/>
    </row>
    <row r="4" spans="1:16" ht="20.100000000000001" customHeight="1">
      <c r="A4" s="368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Becker, Christina</cp:lastModifiedBy>
  <cp:lastPrinted>2015-03-20T22:59:10Z</cp:lastPrinted>
  <dcterms:created xsi:type="dcterms:W3CDTF">2015-01-15T05:25:41Z</dcterms:created>
  <dcterms:modified xsi:type="dcterms:W3CDTF">2022-12-16T08:42:32Z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